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ed/Documents/pg/board meetings/"/>
    </mc:Choice>
  </mc:AlternateContent>
  <xr:revisionPtr revIDLastSave="0" documentId="13_ncr:1_{F82F3F7E-E81C-674A-89CB-3A84C5D94FD0}" xr6:coauthVersionLast="47" xr6:coauthVersionMax="47" xr10:uidLastSave="{00000000-0000-0000-0000-000000000000}"/>
  <bookViews>
    <workbookView xWindow="2620" yWindow="3420" windowWidth="28040" windowHeight="17440" xr2:uid="{00000000-000D-0000-FFFF-FFFF00000000}"/>
  </bookViews>
  <sheets>
    <sheet name="Sheet1" sheetId="1" r:id="rId1"/>
  </sheets>
  <definedNames>
    <definedName name="_xlnm.Print_Area" localSheetId="0">Sheet1!$A$1:$G$42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G16" i="1"/>
  <c r="C15" i="1"/>
  <c r="E42" i="1"/>
  <c r="F39" i="1"/>
  <c r="F37" i="1"/>
  <c r="E37" i="1"/>
  <c r="E29" i="1"/>
  <c r="F36" i="1"/>
  <c r="E36" i="1"/>
  <c r="C36" i="1"/>
  <c r="B36" i="1"/>
  <c r="F35" i="1"/>
  <c r="F34" i="1"/>
  <c r="F29" i="1"/>
  <c r="F28" i="1"/>
  <c r="F26" i="1"/>
  <c r="F27" i="1"/>
  <c r="E25" i="1"/>
  <c r="C25" i="1"/>
  <c r="F24" i="1"/>
  <c r="F22" i="1"/>
  <c r="F19" i="1"/>
  <c r="F18" i="1"/>
  <c r="E15" i="1"/>
  <c r="B16" i="1"/>
  <c r="B18" i="1"/>
  <c r="C18" i="1"/>
  <c r="D18" i="1" s="1"/>
  <c r="E13" i="1"/>
  <c r="F12" i="1"/>
  <c r="F11" i="1"/>
  <c r="F8" i="1"/>
  <c r="B13" i="1"/>
  <c r="B15" i="1" s="1"/>
  <c r="F7" i="1"/>
  <c r="I30" i="1"/>
  <c r="C13" i="1"/>
  <c r="C16" i="1" s="1"/>
  <c r="D16" i="1" s="1"/>
  <c r="D23" i="1"/>
  <c r="D26" i="1"/>
  <c r="D27" i="1"/>
  <c r="D28" i="1"/>
  <c r="D35" i="1"/>
  <c r="D39" i="1"/>
  <c r="D22" i="1"/>
  <c r="D20" i="1"/>
  <c r="D8" i="1"/>
  <c r="D11" i="1"/>
  <c r="D12" i="1"/>
  <c r="D14" i="1"/>
  <c r="D7" i="1"/>
  <c r="C33" i="1"/>
  <c r="C29" i="1" s="1"/>
  <c r="D29" i="1" s="1"/>
  <c r="C40" i="1"/>
  <c r="C41" i="1" s="1"/>
  <c r="D41" i="1" s="1"/>
  <c r="B40" i="1"/>
  <c r="B25" i="1"/>
  <c r="C19" i="1"/>
  <c r="D19" i="1" s="1"/>
  <c r="F25" i="1" l="1"/>
  <c r="F15" i="1"/>
  <c r="E16" i="1"/>
  <c r="F16" i="1" s="1"/>
  <c r="F13" i="1"/>
  <c r="D25" i="1"/>
  <c r="D40" i="1"/>
  <c r="D15" i="1"/>
  <c r="B37" i="1"/>
  <c r="B42" i="1" s="1"/>
  <c r="D36" i="1"/>
  <c r="D13" i="1"/>
  <c r="C37" i="1" l="1"/>
  <c r="C42" i="1" s="1"/>
  <c r="D37" i="1" l="1"/>
  <c r="D42" i="1"/>
</calcChain>
</file>

<file path=xl/sharedStrings.xml><?xml version="1.0" encoding="utf-8"?>
<sst xmlns="http://schemas.openxmlformats.org/spreadsheetml/2006/main" count="69" uniqueCount="66">
  <si>
    <t>Project Gutenberg Literary Archive Foundation</t>
  </si>
  <si>
    <t>Income</t>
  </si>
  <si>
    <t>Billable Expenditure Revenue</t>
  </si>
  <si>
    <t>Buy Me a Coffee Donations</t>
  </si>
  <si>
    <t>Paypal donations</t>
  </si>
  <si>
    <t>Total for Donations</t>
  </si>
  <si>
    <t>Royalties</t>
  </si>
  <si>
    <t>Total for Income</t>
  </si>
  <si>
    <t>Gross Profit</t>
  </si>
  <si>
    <t>Expenses</t>
  </si>
  <si>
    <t>Bank Charges &amp; Fees</t>
  </si>
  <si>
    <t>Dues &amp; Subscriptions</t>
  </si>
  <si>
    <t>Insurance</t>
  </si>
  <si>
    <t>Legal &amp; Professional Services</t>
  </si>
  <si>
    <t>Accounting</t>
  </si>
  <si>
    <t>Technical Consulting</t>
  </si>
  <si>
    <t>Total for Legal &amp; Professional Services</t>
  </si>
  <si>
    <t>Network Expenses</t>
  </si>
  <si>
    <t>Office Supplies &amp; Software</t>
  </si>
  <si>
    <t>Other Business Expenses</t>
  </si>
  <si>
    <t>Travel</t>
  </si>
  <si>
    <t>Total for Expenses</t>
  </si>
  <si>
    <t>Net Operating Income</t>
  </si>
  <si>
    <t>Other Income</t>
  </si>
  <si>
    <t>Interest Earned</t>
  </si>
  <si>
    <t>Total for Other Income</t>
  </si>
  <si>
    <t>Net Other Income</t>
  </si>
  <si>
    <t>24-25 actual</t>
  </si>
  <si>
    <t>25-26 Budget</t>
  </si>
  <si>
    <t xml:space="preserve"> +/-</t>
  </si>
  <si>
    <t>comments</t>
  </si>
  <si>
    <t>ua.edu collab</t>
  </si>
  <si>
    <t>unknown source</t>
  </si>
  <si>
    <t>hard to predict</t>
  </si>
  <si>
    <t>shifted  donors away from $1/mo</t>
  </si>
  <si>
    <t xml:space="preserve"> +quickbooks.-vpn</t>
  </si>
  <si>
    <t>est for D+O insurance</t>
  </si>
  <si>
    <t>990 filing</t>
  </si>
  <si>
    <t>Management</t>
  </si>
  <si>
    <t>ED stipend</t>
  </si>
  <si>
    <t xml:space="preserve">      SysSdmin contractor</t>
  </si>
  <si>
    <t>Volunteer Education</t>
  </si>
  <si>
    <t xml:space="preserve">      Payroll taxes</t>
  </si>
  <si>
    <t xml:space="preserve">      P/T Product management contractor</t>
  </si>
  <si>
    <t>Net Income/Budgeted Surplus</t>
  </si>
  <si>
    <t>closed office</t>
  </si>
  <si>
    <t>increased use by donors</t>
  </si>
  <si>
    <t>oct/nov  2025 donations 180% of previous year</t>
  </si>
  <si>
    <t>MM  -&gt;  CD</t>
  </si>
  <si>
    <t>January 1-June 30, 2026</t>
  </si>
  <si>
    <t>FEF work moved to PG</t>
  </si>
  <si>
    <t>2026 YTD</t>
  </si>
  <si>
    <t>vs. budget</t>
  </si>
  <si>
    <t xml:space="preserve">  Donations</t>
  </si>
  <si>
    <t xml:space="preserve">  Legacy Donations</t>
  </si>
  <si>
    <t xml:space="preserve">  Grants</t>
  </si>
  <si>
    <t>N/A</t>
  </si>
  <si>
    <t xml:space="preserve">Payroll </t>
  </si>
  <si>
    <t>Casey</t>
  </si>
  <si>
    <t>Robert</t>
  </si>
  <si>
    <t>Rowan</t>
  </si>
  <si>
    <t>Laura Brady</t>
  </si>
  <si>
    <t>ALA</t>
  </si>
  <si>
    <t>no hardware this year</t>
  </si>
  <si>
    <t xml:space="preserve">      [Rowan McKernighan]</t>
  </si>
  <si>
    <t>Budget Proposal, with actuals 6/8/26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</si>
</sst>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"/>
    <numFmt numFmtId="165" formatCode="0.0%"/>
    <numFmt numFmtId="166" formatCode="&quot;$&quot;#,##0.00"/>
    <numFmt numFmtId="167" formatCode="#,##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1"/>
    </xf>
    <xf numFmtId="164" fontId="2" fillId="0" borderId="2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164" fontId="2" fillId="0" borderId="3" xfId="0" applyNumberFormat="1" applyFont="1" applyBorder="1" applyAlignment="1">
      <alignment wrapText="1"/>
    </xf>
    <xf numFmtId="165" fontId="3" fillId="0" borderId="0" xfId="0" applyNumberFormat="1" applyFont="1"/>
    <xf numFmtId="4" fontId="3" fillId="0" borderId="0" xfId="0" quotePrefix="1" applyNumberFormat="1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2" fontId="3" fillId="0" borderId="0" xfId="0" applyNumberFormat="1" applyFont="1"/>
    <xf numFmtId="166" fontId="5" fillId="0" borderId="2" xfId="0" applyNumberFormat="1" applyFont="1" applyBorder="1" applyAlignment="1">
      <alignment wrapText="1"/>
    </xf>
    <xf numFmtId="0" fontId="6" fillId="0" borderId="0" xfId="0" applyFont="1"/>
    <xf numFmtId="4" fontId="5" fillId="0" borderId="0" xfId="0" applyNumberFormat="1" applyFont="1" applyAlignment="1">
      <alignment wrapText="1"/>
    </xf>
    <xf numFmtId="167" fontId="3" fillId="0" borderId="0" xfId="0" applyNumberFormat="1" applyFont="1"/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I46"/>
  <sheetViews>
    <sheetView tabSelected="1" topLeftCell="A12" workbookViewId="0">
      <selection activeCell="A2" sqref="A2:B2"/>
    </sheetView>
  </sheetViews>
  <sheetFormatPr baseColWidth="10" defaultColWidth="11.33203125" defaultRowHeight="21" outlineLevelRow="2" x14ac:dyDescent="0.25"/>
  <cols>
    <col min="1" max="1" width="51.1640625" style="1" customWidth="1"/>
    <col min="2" max="2" width="25.83203125" style="1" customWidth="1"/>
    <col min="3" max="3" width="22.6640625" style="2" customWidth="1"/>
    <col min="4" max="4" width="11.33203125" style="2"/>
    <col min="5" max="5" width="16.5" style="18" customWidth="1"/>
    <col min="6" max="6" width="16.5" style="2" customWidth="1"/>
    <col min="7" max="7" width="50" style="2" customWidth="1"/>
    <col min="8" max="8" width="11.83203125" style="2" bestFit="1" customWidth="1"/>
    <col min="9" max="16384" width="11.33203125" style="2"/>
  </cols>
  <sheetData>
    <row r="1" spans="1:7" x14ac:dyDescent="0.25">
      <c r="A1" s="15" t="s">
        <v>65</v>
      </c>
      <c r="B1" s="16"/>
    </row>
    <row r="2" spans="1:7" x14ac:dyDescent="0.25">
      <c r="A2" s="15" t="s">
        <v>0</v>
      </c>
      <c r="B2" s="16"/>
    </row>
    <row r="3" spans="1:7" x14ac:dyDescent="0.25">
      <c r="A3" s="15" t="s">
        <v>49</v>
      </c>
      <c r="B3" s="16"/>
    </row>
    <row r="5" spans="1:7" ht="22" x14ac:dyDescent="0.25">
      <c r="A5" s="3"/>
      <c r="B5" s="3" t="s">
        <v>27</v>
      </c>
      <c r="C5" s="2" t="s">
        <v>28</v>
      </c>
      <c r="D5" s="2" t="s">
        <v>29</v>
      </c>
      <c r="E5" s="18" t="s">
        <v>51</v>
      </c>
      <c r="F5" s="2" t="s">
        <v>52</v>
      </c>
      <c r="G5" s="2" t="s">
        <v>30</v>
      </c>
    </row>
    <row r="6" spans="1:7" ht="22" x14ac:dyDescent="0.25">
      <c r="A6" s="4" t="s">
        <v>1</v>
      </c>
    </row>
    <row r="7" spans="1:7" ht="22" outlineLevel="1" x14ac:dyDescent="0.25">
      <c r="A7" s="5" t="s">
        <v>2</v>
      </c>
      <c r="B7" s="6">
        <v>2633</v>
      </c>
      <c r="C7" s="2">
        <v>2700</v>
      </c>
      <c r="D7" s="13">
        <f>(C7-B7)/B7</f>
        <v>2.544625902012913E-2</v>
      </c>
      <c r="E7" s="18">
        <v>638</v>
      </c>
      <c r="F7" s="13">
        <f>E7/C7</f>
        <v>0.23629629629629631</v>
      </c>
      <c r="G7" s="2" t="s">
        <v>31</v>
      </c>
    </row>
    <row r="8" spans="1:7" ht="22" outlineLevel="1" x14ac:dyDescent="0.25">
      <c r="A8" s="5" t="s">
        <v>53</v>
      </c>
      <c r="B8" s="6">
        <v>53190.61</v>
      </c>
      <c r="C8" s="2">
        <v>53000</v>
      </c>
      <c r="D8" s="13">
        <f t="shared" ref="D8:D16" si="0">(C8-B8)/B8</f>
        <v>-3.5835272428723901E-3</v>
      </c>
      <c r="E8" s="18">
        <v>46183.45</v>
      </c>
      <c r="F8" s="13">
        <f>E8/C8</f>
        <v>0.87138584905660377</v>
      </c>
      <c r="G8" s="2" t="s">
        <v>33</v>
      </c>
    </row>
    <row r="9" spans="1:7" ht="22" outlineLevel="1" x14ac:dyDescent="0.25">
      <c r="A9" s="5" t="s">
        <v>54</v>
      </c>
      <c r="B9" s="6"/>
      <c r="C9" s="2">
        <v>0</v>
      </c>
      <c r="D9" s="13"/>
      <c r="E9" s="18">
        <v>500000</v>
      </c>
      <c r="F9" s="13" t="s">
        <v>56</v>
      </c>
    </row>
    <row r="10" spans="1:7" ht="22" outlineLevel="1" x14ac:dyDescent="0.25">
      <c r="A10" s="5" t="s">
        <v>55</v>
      </c>
      <c r="B10" s="6"/>
      <c r="C10" s="2">
        <v>0</v>
      </c>
      <c r="D10" s="13"/>
      <c r="E10" s="18">
        <v>25000</v>
      </c>
      <c r="F10" s="13" t="s">
        <v>56</v>
      </c>
    </row>
    <row r="11" spans="1:7" ht="22" outlineLevel="2" x14ac:dyDescent="0.25">
      <c r="A11" s="7" t="s">
        <v>3</v>
      </c>
      <c r="B11" s="6">
        <v>1517.65</v>
      </c>
      <c r="C11" s="2">
        <v>1800</v>
      </c>
      <c r="D11" s="13">
        <f t="shared" si="0"/>
        <v>0.18604421309261021</v>
      </c>
      <c r="E11" s="18">
        <v>2958.56</v>
      </c>
      <c r="F11" s="13">
        <f>E11/C11</f>
        <v>1.6436444444444445</v>
      </c>
      <c r="G11" s="2" t="s">
        <v>46</v>
      </c>
    </row>
    <row r="12" spans="1:7" ht="22" outlineLevel="2" x14ac:dyDescent="0.25">
      <c r="A12" s="7" t="s">
        <v>4</v>
      </c>
      <c r="B12" s="6">
        <v>18541.900000000001</v>
      </c>
      <c r="C12" s="2">
        <v>22000</v>
      </c>
      <c r="D12" s="13">
        <f t="shared" si="0"/>
        <v>0.18650192267243368</v>
      </c>
      <c r="E12" s="18">
        <v>26543.37</v>
      </c>
      <c r="F12" s="13">
        <f t="shared" ref="F12:F19" si="1">E12/C12</f>
        <v>1.2065168181818182</v>
      </c>
      <c r="G12" s="2" t="s">
        <v>47</v>
      </c>
    </row>
    <row r="13" spans="1:7" ht="22" outlineLevel="1" x14ac:dyDescent="0.25">
      <c r="A13" s="8" t="s">
        <v>5</v>
      </c>
      <c r="B13" s="9">
        <f>B8+B11+B12</f>
        <v>73250.16</v>
      </c>
      <c r="C13" s="9">
        <f>C8+C11+C12</f>
        <v>76800</v>
      </c>
      <c r="D13" s="13">
        <f t="shared" si="0"/>
        <v>4.8461873666897061E-2</v>
      </c>
      <c r="E13" s="18">
        <f>E12+E11+E8</f>
        <v>75685.38</v>
      </c>
      <c r="F13" s="13">
        <f t="shared" si="1"/>
        <v>0.98548671875000005</v>
      </c>
    </row>
    <row r="14" spans="1:7" ht="22" outlineLevel="1" x14ac:dyDescent="0.25">
      <c r="A14" s="5" t="s">
        <v>6</v>
      </c>
      <c r="B14" s="6">
        <v>2000</v>
      </c>
      <c r="C14" s="2">
        <v>0</v>
      </c>
      <c r="D14" s="13">
        <f t="shared" si="0"/>
        <v>-1</v>
      </c>
      <c r="E14" s="18">
        <v>4384.67</v>
      </c>
      <c r="F14" s="13" t="s">
        <v>56</v>
      </c>
      <c r="G14" s="2" t="s">
        <v>32</v>
      </c>
    </row>
    <row r="15" spans="1:7" ht="22" x14ac:dyDescent="0.25">
      <c r="A15" s="10" t="s">
        <v>7</v>
      </c>
      <c r="B15" s="9">
        <f>B13+B14+B7</f>
        <v>77883.16</v>
      </c>
      <c r="C15" s="9">
        <f>C13+C14+C7</f>
        <v>79500</v>
      </c>
      <c r="D15" s="13">
        <f t="shared" si="0"/>
        <v>2.0759815087112495E-2</v>
      </c>
      <c r="E15" s="18">
        <f>E14+E13+E10+E9+E7</f>
        <v>605708.05000000005</v>
      </c>
      <c r="F15" s="13">
        <f t="shared" si="1"/>
        <v>7.6189691823899377</v>
      </c>
    </row>
    <row r="16" spans="1:7" ht="22" x14ac:dyDescent="0.25">
      <c r="A16" s="10" t="s">
        <v>8</v>
      </c>
      <c r="B16" s="9">
        <f>B15</f>
        <v>77883.16</v>
      </c>
      <c r="C16" s="9">
        <f>C15</f>
        <v>79500</v>
      </c>
      <c r="D16" s="13">
        <f t="shared" si="0"/>
        <v>2.0759815087112495E-2</v>
      </c>
      <c r="E16" s="18">
        <f>E14+E13+E10+E9+E7</f>
        <v>605708.05000000005</v>
      </c>
      <c r="F16" s="13">
        <f t="shared" si="1"/>
        <v>7.6189691823899377</v>
      </c>
      <c r="G16" s="18">
        <f>E16-E9-E10-C16</f>
        <v>1208.0500000000466</v>
      </c>
    </row>
    <row r="17" spans="1:9" ht="22" x14ac:dyDescent="0.25">
      <c r="A17" s="4" t="s">
        <v>9</v>
      </c>
    </row>
    <row r="18" spans="1:9" ht="22" outlineLevel="1" x14ac:dyDescent="0.25">
      <c r="A18" s="5" t="s">
        <v>10</v>
      </c>
      <c r="B18" s="6">
        <f>778.8+1272.41</f>
        <v>2051.21</v>
      </c>
      <c r="C18" s="2">
        <f>778.8+1200</f>
        <v>1978.8</v>
      </c>
      <c r="D18" s="13">
        <f t="shared" ref="D18" si="2">(C18-B18)/B18</f>
        <v>-3.5301114951662715E-2</v>
      </c>
      <c r="E18" s="19">
        <v>2222.09</v>
      </c>
      <c r="F18" s="13">
        <f t="shared" si="1"/>
        <v>1.1229482514655347</v>
      </c>
      <c r="G18" s="2" t="s">
        <v>34</v>
      </c>
    </row>
    <row r="19" spans="1:9" ht="22" outlineLevel="1" x14ac:dyDescent="0.25">
      <c r="A19" s="5" t="s">
        <v>11</v>
      </c>
      <c r="B19" s="6">
        <v>128.91999999999999</v>
      </c>
      <c r="C19" s="6">
        <f>6*75</f>
        <v>450</v>
      </c>
      <c r="D19" s="13">
        <f t="shared" ref="D19:D42" si="3">(C19-B19)/B19</f>
        <v>2.4905367669872795</v>
      </c>
      <c r="E19" s="18">
        <v>225</v>
      </c>
      <c r="F19" s="13">
        <f t="shared" si="1"/>
        <v>0.5</v>
      </c>
      <c r="G19" s="2" t="s">
        <v>35</v>
      </c>
    </row>
    <row r="20" spans="1:9" ht="22" outlineLevel="1" x14ac:dyDescent="0.25">
      <c r="A20" s="5" t="s">
        <v>12</v>
      </c>
      <c r="B20" s="6">
        <v>245</v>
      </c>
      <c r="C20" s="6">
        <v>1000</v>
      </c>
      <c r="D20" s="13">
        <f t="shared" si="3"/>
        <v>3.0816326530612246</v>
      </c>
      <c r="E20" s="18">
        <v>0</v>
      </c>
      <c r="F20" s="13">
        <v>0</v>
      </c>
      <c r="G20" s="2" t="s">
        <v>36</v>
      </c>
    </row>
    <row r="21" spans="1:9" ht="22" outlineLevel="1" x14ac:dyDescent="0.25">
      <c r="A21" s="5" t="s">
        <v>13</v>
      </c>
      <c r="B21" s="11"/>
      <c r="F21" s="13"/>
    </row>
    <row r="22" spans="1:9" ht="22" outlineLevel="2" x14ac:dyDescent="0.25">
      <c r="A22" s="7" t="s">
        <v>14</v>
      </c>
      <c r="B22" s="6">
        <v>1920</v>
      </c>
      <c r="C22" s="2">
        <v>2000</v>
      </c>
      <c r="D22" s="13">
        <f t="shared" si="3"/>
        <v>4.1666666666666664E-2</v>
      </c>
      <c r="E22" s="18">
        <v>3025</v>
      </c>
      <c r="F22" s="13">
        <f t="shared" ref="F22:F29" si="4">E22/C22</f>
        <v>1.5125</v>
      </c>
      <c r="G22" s="2" t="s">
        <v>37</v>
      </c>
    </row>
    <row r="23" spans="1:9" ht="22" outlineLevel="2" x14ac:dyDescent="0.25">
      <c r="A23" s="7" t="s">
        <v>15</v>
      </c>
      <c r="B23" s="6">
        <v>19677.5</v>
      </c>
      <c r="C23" s="2">
        <v>0</v>
      </c>
      <c r="D23" s="13">
        <f t="shared" si="3"/>
        <v>-1</v>
      </c>
      <c r="F23" s="13"/>
      <c r="G23" s="2" t="s">
        <v>50</v>
      </c>
    </row>
    <row r="24" spans="1:9" ht="22" outlineLevel="2" x14ac:dyDescent="0.25">
      <c r="A24" s="7" t="s">
        <v>38</v>
      </c>
      <c r="B24" s="6"/>
      <c r="C24" s="2">
        <v>15000</v>
      </c>
      <c r="D24" s="13"/>
      <c r="E24" s="18">
        <v>12500</v>
      </c>
      <c r="F24" s="13">
        <f t="shared" si="4"/>
        <v>0.83333333333333337</v>
      </c>
      <c r="G24" s="2" t="s">
        <v>39</v>
      </c>
    </row>
    <row r="25" spans="1:9" ht="43" outlineLevel="1" x14ac:dyDescent="0.25">
      <c r="A25" s="8" t="s">
        <v>16</v>
      </c>
      <c r="B25" s="9">
        <f>B21+B22+B23+B24</f>
        <v>21597.5</v>
      </c>
      <c r="C25" s="9">
        <f>C21+C22+C23+C24</f>
        <v>17000</v>
      </c>
      <c r="D25" s="13">
        <f t="shared" si="3"/>
        <v>-0.21287186016900103</v>
      </c>
      <c r="E25" s="9">
        <f>E21+E22+E23+E24</f>
        <v>15525</v>
      </c>
      <c r="F25" s="13">
        <f t="shared" si="4"/>
        <v>0.91323529411764703</v>
      </c>
    </row>
    <row r="26" spans="1:9" ht="22" outlineLevel="1" x14ac:dyDescent="0.25">
      <c r="A26" s="5" t="s">
        <v>17</v>
      </c>
      <c r="B26" s="6">
        <v>7099.44</v>
      </c>
      <c r="C26" s="6">
        <v>7000</v>
      </c>
      <c r="D26" s="13">
        <f t="shared" si="3"/>
        <v>-1.4006738559660989E-2</v>
      </c>
      <c r="E26" s="18">
        <v>2694.17</v>
      </c>
      <c r="F26" s="13">
        <f t="shared" si="4"/>
        <v>0.3848814285714286</v>
      </c>
      <c r="G26" s="2" t="s">
        <v>63</v>
      </c>
    </row>
    <row r="27" spans="1:9" ht="22" outlineLevel="1" x14ac:dyDescent="0.25">
      <c r="A27" s="5" t="s">
        <v>18</v>
      </c>
      <c r="B27" s="6">
        <v>2744.93</v>
      </c>
      <c r="C27" s="6">
        <v>200</v>
      </c>
      <c r="D27" s="13">
        <f t="shared" si="3"/>
        <v>-0.92713839697187173</v>
      </c>
      <c r="E27" s="18">
        <v>195.28</v>
      </c>
      <c r="F27" s="13">
        <f t="shared" si="4"/>
        <v>0.97640000000000005</v>
      </c>
      <c r="G27" s="2" t="s">
        <v>45</v>
      </c>
    </row>
    <row r="28" spans="1:9" ht="22" outlineLevel="1" x14ac:dyDescent="0.25">
      <c r="A28" s="5" t="s">
        <v>19</v>
      </c>
      <c r="B28" s="6">
        <v>446.74</v>
      </c>
      <c r="C28" s="6">
        <v>100</v>
      </c>
      <c r="D28" s="13">
        <f t="shared" si="3"/>
        <v>-0.77615615346734124</v>
      </c>
      <c r="E28" s="18">
        <v>85.47</v>
      </c>
      <c r="F28" s="13">
        <f t="shared" si="4"/>
        <v>0.85470000000000002</v>
      </c>
      <c r="G28" s="2" t="s">
        <v>45</v>
      </c>
    </row>
    <row r="29" spans="1:9" ht="22" outlineLevel="1" x14ac:dyDescent="0.25">
      <c r="A29" s="5" t="s">
        <v>57</v>
      </c>
      <c r="B29" s="6">
        <v>37232.65</v>
      </c>
      <c r="C29" s="6">
        <f>C30+C31+C33+C32</f>
        <v>47366</v>
      </c>
      <c r="D29" s="13">
        <f t="shared" si="3"/>
        <v>0.27216300746790784</v>
      </c>
      <c r="E29" s="18">
        <f>22796.54+14200</f>
        <v>36996.54</v>
      </c>
      <c r="F29" s="13">
        <f t="shared" si="4"/>
        <v>0.78107798843051979</v>
      </c>
    </row>
    <row r="30" spans="1:9" ht="22" outlineLevel="1" x14ac:dyDescent="0.25">
      <c r="A30" s="5" t="s">
        <v>64</v>
      </c>
      <c r="B30" s="6"/>
      <c r="C30" s="6">
        <v>36000</v>
      </c>
      <c r="D30" s="13"/>
      <c r="E30" s="18">
        <v>5538.46</v>
      </c>
      <c r="F30" s="13"/>
      <c r="G30" s="2" t="s">
        <v>60</v>
      </c>
      <c r="H30" s="14"/>
      <c r="I30" s="2">
        <f>H30/150</f>
        <v>0</v>
      </c>
    </row>
    <row r="31" spans="1:9" ht="22" outlineLevel="1" x14ac:dyDescent="0.25">
      <c r="A31" s="5" t="s">
        <v>40</v>
      </c>
      <c r="B31" s="6"/>
      <c r="C31" s="6">
        <v>2000</v>
      </c>
      <c r="D31" s="13"/>
      <c r="E31" s="18">
        <v>14200</v>
      </c>
      <c r="F31" s="13"/>
      <c r="G31" s="2" t="s">
        <v>58</v>
      </c>
    </row>
    <row r="32" spans="1:9" ht="22" outlineLevel="1" x14ac:dyDescent="0.25">
      <c r="A32" s="5" t="s">
        <v>43</v>
      </c>
      <c r="B32" s="6"/>
      <c r="C32" s="6">
        <v>6000</v>
      </c>
      <c r="D32" s="13"/>
      <c r="E32" s="18">
        <v>15286.130000000001</v>
      </c>
      <c r="F32" s="13"/>
      <c r="G32" s="2" t="s">
        <v>59</v>
      </c>
    </row>
    <row r="33" spans="1:7" ht="22" outlineLevel="1" x14ac:dyDescent="0.25">
      <c r="A33" s="5" t="s">
        <v>42</v>
      </c>
      <c r="B33" s="6"/>
      <c r="C33" s="6">
        <f>0.0765*(C30+C31+C32)</f>
        <v>3366</v>
      </c>
      <c r="D33" s="13"/>
      <c r="E33" s="20">
        <v>2029.92</v>
      </c>
      <c r="F33" s="13"/>
    </row>
    <row r="34" spans="1:7" ht="22" outlineLevel="1" x14ac:dyDescent="0.25">
      <c r="A34" s="5" t="s">
        <v>41</v>
      </c>
      <c r="B34" s="6"/>
      <c r="C34" s="6">
        <v>1000</v>
      </c>
      <c r="D34" s="13"/>
      <c r="E34" s="18">
        <v>0</v>
      </c>
      <c r="F34" s="13">
        <f t="shared" ref="F34:F39" si="5">E34/C34</f>
        <v>0</v>
      </c>
      <c r="G34" s="2" t="s">
        <v>61</v>
      </c>
    </row>
    <row r="35" spans="1:7" ht="22" outlineLevel="1" x14ac:dyDescent="0.25">
      <c r="A35" s="5" t="s">
        <v>20</v>
      </c>
      <c r="B35" s="6">
        <v>581.04999999999995</v>
      </c>
      <c r="C35" s="6">
        <v>2000</v>
      </c>
      <c r="D35" s="13">
        <f t="shared" si="3"/>
        <v>2.4420445744772397</v>
      </c>
      <c r="E35" s="18">
        <v>1157.8499999999999</v>
      </c>
      <c r="F35" s="13">
        <f t="shared" si="5"/>
        <v>0.57892499999999991</v>
      </c>
      <c r="G35" s="2" t="s">
        <v>62</v>
      </c>
    </row>
    <row r="36" spans="1:7" ht="22" x14ac:dyDescent="0.25">
      <c r="A36" s="10" t="s">
        <v>21</v>
      </c>
      <c r="B36" s="9">
        <f>B18+B19+B20+B25+B26+B27+B28+B29+B35</f>
        <v>72127.44</v>
      </c>
      <c r="C36" s="9">
        <f>C18+C19+C20+C25+C26+C27+C28+C29+C35</f>
        <v>77094.8</v>
      </c>
      <c r="D36" s="13">
        <f t="shared" si="3"/>
        <v>6.8869212604800625E-2</v>
      </c>
      <c r="E36" s="9">
        <f>E18+E19+E20+E25+E26+E27+E28+E29+E35</f>
        <v>59101.4</v>
      </c>
      <c r="F36" s="13">
        <f t="shared" si="5"/>
        <v>0.76660682691958471</v>
      </c>
      <c r="G36" s="22">
        <f>E36-C36</f>
        <v>-17993.400000000001</v>
      </c>
    </row>
    <row r="37" spans="1:7" ht="22" x14ac:dyDescent="0.25">
      <c r="A37" s="10" t="s">
        <v>22</v>
      </c>
      <c r="B37" s="9">
        <f>B16-B36</f>
        <v>5755.7200000000012</v>
      </c>
      <c r="C37" s="9">
        <f>C16-C36</f>
        <v>2405.1999999999971</v>
      </c>
      <c r="D37" s="13">
        <f t="shared" si="3"/>
        <v>-0.58212004753532198</v>
      </c>
      <c r="E37" s="9">
        <f>E16-E36</f>
        <v>546606.65</v>
      </c>
      <c r="F37" s="13">
        <f t="shared" si="5"/>
        <v>227.2603733577252</v>
      </c>
    </row>
    <row r="38" spans="1:7" ht="22" x14ac:dyDescent="0.25">
      <c r="A38" s="4" t="s">
        <v>23</v>
      </c>
      <c r="C38" s="1"/>
      <c r="D38" s="13"/>
      <c r="F38" s="13"/>
    </row>
    <row r="39" spans="1:7" ht="22" outlineLevel="1" x14ac:dyDescent="0.25">
      <c r="A39" s="5" t="s">
        <v>24</v>
      </c>
      <c r="B39" s="6">
        <v>3.07</v>
      </c>
      <c r="C39" s="6">
        <v>300</v>
      </c>
      <c r="D39" s="13">
        <f t="shared" si="3"/>
        <v>96.719869706840399</v>
      </c>
      <c r="E39" s="21">
        <v>1854.39</v>
      </c>
      <c r="F39" s="13">
        <f t="shared" si="5"/>
        <v>6.1813000000000002</v>
      </c>
      <c r="G39" s="2" t="s">
        <v>48</v>
      </c>
    </row>
    <row r="40" spans="1:7" ht="22" x14ac:dyDescent="0.25">
      <c r="A40" s="10" t="s">
        <v>25</v>
      </c>
      <c r="B40" s="9">
        <f>B39</f>
        <v>3.07</v>
      </c>
      <c r="C40" s="9">
        <f>C39</f>
        <v>300</v>
      </c>
      <c r="D40" s="13">
        <f t="shared" si="3"/>
        <v>96.719869706840399</v>
      </c>
      <c r="E40" s="21">
        <v>1854.39</v>
      </c>
      <c r="F40" s="13"/>
    </row>
    <row r="41" spans="1:7" ht="22" x14ac:dyDescent="0.25">
      <c r="A41" s="10" t="s">
        <v>26</v>
      </c>
      <c r="B41" s="12">
        <v>3.07</v>
      </c>
      <c r="C41" s="12">
        <f>C40</f>
        <v>300</v>
      </c>
      <c r="D41" s="13">
        <f t="shared" si="3"/>
        <v>96.719869706840399</v>
      </c>
      <c r="E41" s="21">
        <v>1854.39</v>
      </c>
      <c r="F41" s="13"/>
    </row>
    <row r="42" spans="1:7" ht="22" x14ac:dyDescent="0.25">
      <c r="A42" s="10" t="s">
        <v>44</v>
      </c>
      <c r="B42" s="9">
        <f>B37+B41</f>
        <v>5758.7900000000009</v>
      </c>
      <c r="C42" s="9">
        <f>C37+C41</f>
        <v>2705.1999999999971</v>
      </c>
      <c r="D42" s="13">
        <f t="shared" si="3"/>
        <v>-0.53024854179437053</v>
      </c>
      <c r="E42" s="9">
        <f>E37+E41</f>
        <v>548461.04</v>
      </c>
      <c r="F42" s="13"/>
    </row>
    <row r="46" spans="1:7" x14ac:dyDescent="0.25">
      <c r="A46" s="17"/>
      <c r="B46" s="16"/>
    </row>
  </sheetData>
  <mergeCells count="4">
    <mergeCell ref="A1:B1"/>
    <mergeCell ref="A2:B2"/>
    <mergeCell ref="A3:B3"/>
    <mergeCell ref="A46:B4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eric hellman</cp:lastModifiedBy>
  <cp:lastPrinted>2026-01-05T23:39:08Z</cp:lastPrinted>
  <dcterms:created xsi:type="dcterms:W3CDTF">2022-03-24T08:55:57Z</dcterms:created>
  <dcterms:modified xsi:type="dcterms:W3CDTF">2026-06-08T20:16:52Z</dcterms:modified>
  <cp:category/>
</cp:coreProperties>
</file>